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Documents/novi stik/S Milunom do milijuna/FINAX/"/>
    </mc:Choice>
  </mc:AlternateContent>
  <xr:revisionPtr revIDLastSave="79" documentId="14_{5BEEF21C-6EA7-4BBC-8E41-92BBD4665D53}" xr6:coauthVersionLast="47" xr6:coauthVersionMax="47" xr10:uidLastSave="{8DB9220E-F2FB-4C27-A06F-BB0E5771B9FF}"/>
  <bookViews>
    <workbookView xWindow="-28920" yWindow="-120" windowWidth="29040" windowHeight="15840" xr2:uid="{00000000-000D-0000-FFFF-FFFF00000000}"/>
  </bookViews>
  <sheets>
    <sheet name="2023 i 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E15" i="4" l="1"/>
  <c r="E16" i="4"/>
  <c r="E17" i="4"/>
  <c r="E18" i="4"/>
  <c r="E19" i="4"/>
  <c r="E20" i="4"/>
  <c r="E21" i="4"/>
  <c r="E22" i="4"/>
  <c r="E23" i="4"/>
  <c r="E14" i="4"/>
  <c r="E32" i="4"/>
  <c r="D23" i="4"/>
  <c r="D22" i="4"/>
  <c r="D21" i="4"/>
  <c r="D18" i="4"/>
  <c r="B20" i="4"/>
  <c r="D19" i="4"/>
  <c r="D20" i="4"/>
  <c r="D17" i="4"/>
  <c r="D16" i="4"/>
  <c r="D15" i="4"/>
  <c r="D14" i="4"/>
  <c r="E8" i="4"/>
  <c r="C9" i="4"/>
  <c r="C10" i="4" s="1"/>
  <c r="B19" i="4"/>
  <c r="B23" i="4"/>
  <c r="B22" i="4"/>
  <c r="B21" i="4"/>
  <c r="B18" i="4"/>
  <c r="B17" i="4"/>
  <c r="B16" i="4"/>
  <c r="B15" i="4"/>
  <c r="B14" i="4"/>
  <c r="C37" i="4"/>
  <c r="C38" i="4" s="1"/>
  <c r="C11" i="4"/>
  <c r="E9" i="4" l="1" a="1"/>
  <c r="E9" i="4" s="1"/>
  <c r="E10" i="4" s="1"/>
  <c r="E24" i="4"/>
  <c r="E25" i="4" s="1"/>
  <c r="C24" i="4"/>
  <c r="C25" i="4" s="1"/>
  <c r="E11" i="4"/>
  <c r="E37" i="4"/>
  <c r="E38" i="4" s="1"/>
  <c r="C12" i="4"/>
  <c r="C13" i="4" s="1"/>
  <c r="E12" i="4" l="1"/>
  <c r="E13" i="4" s="1"/>
  <c r="E26" i="4" s="1"/>
  <c r="C26" i="4"/>
  <c r="C27" i="4" l="1"/>
  <c r="C39" i="4" s="1"/>
  <c r="C28" i="4"/>
  <c r="C33" i="4" s="1"/>
  <c r="E27" i="4"/>
  <c r="E39" i="4" s="1"/>
  <c r="E28" i="4"/>
  <c r="E31" i="4" s="1"/>
  <c r="C31" i="4" l="1"/>
  <c r="C34" i="4" s="1"/>
  <c r="C35" i="4" s="1"/>
  <c r="E33" i="4"/>
  <c r="E35" i="4" s="1"/>
  <c r="G35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<sst xmlns="http://schemas.openxmlformats.org/spreadsheetml/2006/main" count="63" uniqueCount="50">
  <si>
    <t>BRUTO iznos</t>
  </si>
  <si>
    <t>1. MO 15 %</t>
  </si>
  <si>
    <t>15 % od bruto iznosa</t>
  </si>
  <si>
    <t>2. MO 5 %</t>
  </si>
  <si>
    <t>5 % od bruto iznosa</t>
  </si>
  <si>
    <t>MIROVINSKO OSIGURANJE ukupno</t>
  </si>
  <si>
    <t>1. MO + 2. MO</t>
  </si>
  <si>
    <t>DOHODAK</t>
  </si>
  <si>
    <t>bruto - ukupna izdvajanja za mirovinsko osiguranje</t>
  </si>
  <si>
    <t>POREZNA OSNOVICA</t>
  </si>
  <si>
    <t>dohodak - osobni odbitak</t>
  </si>
  <si>
    <t>dohodak - ukupan porez - prirez</t>
  </si>
  <si>
    <t>DOPRINOSI NA PLAĆU (ZO) 0 %/16,5 %</t>
  </si>
  <si>
    <t>16,5 % na bruto</t>
  </si>
  <si>
    <t>BRUTO 2 = ukupan trošak poslodavca</t>
  </si>
  <si>
    <t>bruto + doprinosi na plaću</t>
  </si>
  <si>
    <t>D1</t>
  </si>
  <si>
    <t>D2</t>
  </si>
  <si>
    <t>D3</t>
  </si>
  <si>
    <t>ISKORIŠTENI OSOBNI ODBITAK</t>
  </si>
  <si>
    <t>POMOĆI REDAK</t>
  </si>
  <si>
    <t>POTENCIJALNI OSOBNI ODBITAK</t>
  </si>
  <si>
    <t>NEISKORIŠTENI OSOBNI ODBITAK</t>
  </si>
  <si>
    <t>STOPA PRIREZA</t>
  </si>
  <si>
    <t>PRIREZ</t>
  </si>
  <si>
    <t>NETO PLAĆA</t>
  </si>
  <si>
    <t>D4</t>
  </si>
  <si>
    <t>da</t>
  </si>
  <si>
    <t>D5</t>
  </si>
  <si>
    <t>D6</t>
  </si>
  <si>
    <t>Invalidnost manja od 100 %</t>
  </si>
  <si>
    <t>Invalidnost 100 %</t>
  </si>
  <si>
    <t>Uzdržavani član</t>
  </si>
  <si>
    <t>D7</t>
  </si>
  <si>
    <t>15 % od osnovice</t>
  </si>
  <si>
    <t>osnovica za 1. MO</t>
  </si>
  <si>
    <t>niža stopa poreza</t>
  </si>
  <si>
    <t>POREZ niža stopa</t>
  </si>
  <si>
    <t>POREZ viša stopa</t>
  </si>
  <si>
    <t>x % na iznos do 4.200 eura porezne osnovice</t>
  </si>
  <si>
    <t>viša stopa poreza</t>
  </si>
  <si>
    <t>y % na iznos iznad 4.200 eura porezne osnovice</t>
  </si>
  <si>
    <t>z % od ukupnog poreza</t>
  </si>
  <si>
    <t>20 % na iznos do 3.981,69 eura porezne osnovice</t>
  </si>
  <si>
    <t>30 % na iznos iznad 3.981,69 eura porezne osnovice</t>
  </si>
  <si>
    <t>NAPOMENA</t>
  </si>
  <si>
    <t>2023.</t>
  </si>
  <si>
    <t>2024.</t>
  </si>
  <si>
    <t>KALKULATOR OBRAČUNA PLAĆE</t>
  </si>
  <si>
    <t>porast neto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</si>
</sst>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kn&quot;_-;\-* #,##0.00\ &quot;kn&quot;_-;_-* &quot;-&quot;??\ &quot;kn&quot;_-;_-@_-"/>
    <numFmt numFmtId="165" formatCode="_-* #,##0.00\ [$kn-41A]_-;\-* #,##0.00\ [$kn-41A]_-;_-* &quot;-&quot;??\ [$kn-41A]_-;_-@_-"/>
    <numFmt numFmtId="166" formatCode="#,##0.00\ &quot;kn&quot;"/>
    <numFmt numFmtId="167" formatCode="_(* #,##0.00_);_(* \(#,##0.00\);_(* &quot;-&quot;??_);_(@_)"/>
    <numFmt numFmtId="168" formatCode="_-[$€-2]\ * #,##0.00_-;\-[$€-2]\ * #,##0.00_-;_-[$€-2]\ * &quot;-&quot;??_-;_-@_-"/>
    <numFmt numFmtId="169" formatCode="0.0%"/>
    <numFmt numFmtId="170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3" applyAlignment="1">
      <alignment horizontal="left" vertical="center"/>
    </xf>
    <xf numFmtId="9" fontId="8" fillId="0" borderId="1" xfId="1" applyFont="1" applyFill="1" applyBorder="1" applyAlignment="1">
      <alignment horizontal="center" vertical="center"/>
    </xf>
    <xf numFmtId="0" fontId="1" fillId="0" borderId="0" xfId="7"/>
    <xf numFmtId="0" fontId="1" fillId="0" borderId="1" xfId="7" applyBorder="1" applyAlignment="1">
      <alignment horizontal="center" vertical="center"/>
    </xf>
    <xf numFmtId="0" fontId="7" fillId="0" borderId="1" xfId="7" applyFont="1" applyBorder="1" applyAlignment="1">
      <alignment horizontal="left" vertical="center" wrapText="1"/>
    </xf>
    <xf numFmtId="0" fontId="5" fillId="0" borderId="1" xfId="7" applyFont="1" applyBorder="1" applyAlignment="1">
      <alignment horizontal="left" vertical="center"/>
    </xf>
    <xf numFmtId="0" fontId="9" fillId="0" borderId="1" xfId="7" applyFont="1" applyBorder="1" applyAlignment="1">
      <alignment horizontal="left" vertical="center" wrapText="1"/>
    </xf>
    <xf numFmtId="0" fontId="5" fillId="0" borderId="1" xfId="7" applyFont="1" applyBorder="1" applyAlignment="1">
      <alignment horizontal="left" vertical="center" wrapText="1"/>
    </xf>
    <xf numFmtId="166" fontId="8" fillId="0" borderId="1" xfId="8" applyNumberFormat="1" applyFont="1" applyFill="1" applyBorder="1" applyAlignment="1">
      <alignment horizontal="left" vertical="center"/>
    </xf>
    <xf numFmtId="0" fontId="4" fillId="4" borderId="1" xfId="7" applyFont="1" applyFill="1" applyBorder="1" applyAlignment="1">
      <alignment horizontal="left" vertical="center" wrapText="1"/>
    </xf>
    <xf numFmtId="0" fontId="1" fillId="0" borderId="1" xfId="7" applyBorder="1" applyAlignment="1">
      <alignment horizontal="left" vertical="center" wrapText="1"/>
    </xf>
    <xf numFmtId="165" fontId="1" fillId="2" borderId="1" xfId="7" applyNumberFormat="1" applyFill="1" applyBorder="1" applyAlignment="1">
      <alignment horizontal="center" vertical="center" wrapText="1"/>
    </xf>
    <xf numFmtId="168" fontId="8" fillId="2" borderId="1" xfId="3" applyNumberFormat="1" applyFont="1" applyFill="1" applyBorder="1" applyAlignment="1">
      <alignment horizontal="center" vertical="center"/>
    </xf>
    <xf numFmtId="168" fontId="8" fillId="0" borderId="1" xfId="8" applyNumberFormat="1" applyFont="1" applyFill="1" applyBorder="1" applyAlignment="1">
      <alignment horizontal="center" vertical="center"/>
    </xf>
    <xf numFmtId="168" fontId="8" fillId="0" borderId="1" xfId="8" applyNumberFormat="1" applyFont="1" applyFill="1" applyBorder="1" applyAlignment="1">
      <alignment horizontal="left" vertical="center"/>
    </xf>
    <xf numFmtId="168" fontId="8" fillId="0" borderId="1" xfId="5" applyNumberFormat="1" applyFont="1" applyFill="1" applyBorder="1" applyAlignment="1">
      <alignment horizontal="center" vertical="center"/>
    </xf>
    <xf numFmtId="168" fontId="8" fillId="0" borderId="1" xfId="3" applyNumberFormat="1" applyFont="1" applyFill="1" applyBorder="1" applyAlignment="1">
      <alignment horizontal="center" vertical="center"/>
    </xf>
    <xf numFmtId="168" fontId="4" fillId="4" borderId="1" xfId="7" applyNumberFormat="1" applyFont="1" applyFill="1" applyBorder="1" applyAlignment="1">
      <alignment horizontal="center" vertical="center" wrapText="1"/>
    </xf>
    <xf numFmtId="169" fontId="8" fillId="0" borderId="1" xfId="1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center" vertical="center"/>
    </xf>
    <xf numFmtId="0" fontId="1" fillId="0" borderId="1" xfId="7" applyBorder="1" applyAlignment="1">
      <alignment horizontal="center" vertical="center" wrapText="1"/>
    </xf>
    <xf numFmtId="0" fontId="1" fillId="0" borderId="1" xfId="7" applyBorder="1" applyAlignment="1">
      <alignment horizontal="left" vertical="center"/>
    </xf>
    <xf numFmtId="168" fontId="8" fillId="3" borderId="1" xfId="3" applyNumberFormat="1" applyFont="1" applyFill="1" applyBorder="1" applyAlignment="1">
      <alignment horizontal="center" vertical="center"/>
    </xf>
    <xf numFmtId="169" fontId="8" fillId="3" borderId="1" xfId="1" applyNumberFormat="1" applyFont="1" applyFill="1" applyBorder="1" applyAlignment="1">
      <alignment horizontal="center" vertical="center"/>
    </xf>
    <xf numFmtId="9" fontId="8" fillId="2" borderId="1" xfId="1" applyFont="1" applyFill="1" applyBorder="1" applyAlignment="1">
      <alignment horizontal="center" vertical="center"/>
    </xf>
    <xf numFmtId="0" fontId="11" fillId="0" borderId="1" xfId="7" applyFont="1" applyBorder="1" applyAlignment="1">
      <alignment horizontal="left" vertical="center" wrapText="1"/>
    </xf>
    <xf numFmtId="168" fontId="10" fillId="0" borderId="1" xfId="8" applyNumberFormat="1" applyFont="1" applyFill="1" applyBorder="1" applyAlignment="1">
      <alignment horizontal="center" vertical="center"/>
    </xf>
    <xf numFmtId="0" fontId="13" fillId="0" borderId="0" xfId="7" applyFont="1"/>
  </cellXfs>
  <cellStyles count="9">
    <cellStyle name="Hiperveza 2" xfId="3" xr:uid="{BA79CBF0-C184-46C0-9750-1E3F24302FB3}"/>
    <cellStyle name="Normal" xfId="0" builtinId="0"/>
    <cellStyle name="Normalno 2 2" xfId="2" xr:uid="{79E5CB44-EC64-449F-BD91-3A4416D32EB7}"/>
    <cellStyle name="Normalno 2 2 2" xfId="7" xr:uid="{4052B412-3EC2-470F-8A1A-8C6EABBEB8F0}"/>
    <cellStyle name="Percent" xfId="1" builtinId="5"/>
    <cellStyle name="Postotak 2 2" xfId="6" xr:uid="{0A56DCA0-5CEA-4EFD-AE46-78CB5E977BAD}"/>
    <cellStyle name="Valuta 2 2" xfId="4" xr:uid="{8E09F189-C7B8-4E45-A748-A09135A178F2}"/>
    <cellStyle name="Valuta 2 2 2" xfId="8" xr:uid="{C5FE08FD-1E94-4291-8FA5-363470B2C449}"/>
    <cellStyle name="Zarez 2" xfId="5" xr:uid="{2C54341D-24EB-4465-A950-8B99B78F337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831732</xdr:colOff>
      <xdr:row>2</xdr:row>
      <xdr:rowOff>58964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56C650-3019-4C52-B4C4-9B3C0B0D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732" cy="426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857250</xdr:colOff>
      <xdr:row>0</xdr:row>
      <xdr:rowOff>0</xdr:rowOff>
    </xdr:from>
    <xdr:to>
      <xdr:col>0</xdr:col>
      <xdr:colOff>1354957</xdr:colOff>
      <xdr:row>2</xdr:row>
      <xdr:rowOff>112625</xdr:rowOff>
    </xdr:to>
    <xdr:pic>
      <xdr:nvPicPr>
        <xdr:cNvPr id="4" name="Slika 5">
          <a:extLst>
            <a:ext uri="{FF2B5EF4-FFF2-40B4-BE49-F238E27FC236}">
              <a16:creationId xmlns:a16="http://schemas.microsoft.com/office/drawing/2014/main" id="{0EDE7AF3-1BA2-4E36-9520-AE6639AB0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497707" cy="4800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2E47-18A1-49D0-8946-1F49F6A543BF}">
  <dimension ref="A1:G39"/>
  <sheetViews>
    <sheetView tabSelected="1" zoomScale="120" zoomScaleNormal="120" workbookViewId="0">
      <selection activeCell="E32" sqref="E32"/>
    </sheetView>
  </sheetViews>
  <sheetFormatPr defaultRowHeight="14.5" x14ac:dyDescent="0.35"/>
  <cols>
    <col min="1" max="1" width="24.08984375" style="3" customWidth="1"/>
    <col min="2" max="2" width="29.08984375" style="3" hidden="1" customWidth="1"/>
    <col min="3" max="3" width="32" style="3" customWidth="1"/>
    <col min="4" max="4" width="29.08984375" style="3" hidden="1" customWidth="1"/>
    <col min="5" max="5" width="27.90625" style="3" customWidth="1"/>
    <col min="6" max="6" width="13" style="3" customWidth="1"/>
    <col min="7" max="7" width="15.36328125" style="3" bestFit="1" customWidth="1"/>
    <col min="8" max="16384" width="8.7265625" style="3"/>
  </cols>
  <sheetData>
    <row r="1" spans="1:5" ht="14.5" customHeight="1" x14ac:dyDescent="0.35">
      <c r="B1" s="1"/>
      <c r="D1" s="1"/>
    </row>
    <row r="2" spans="1:5" x14ac:dyDescent="0.35">
      <c r="B2" s="1"/>
      <c r="D2" s="1"/>
    </row>
    <row r="3" spans="1:5" x14ac:dyDescent="0.35">
      <c r="B3" s="1"/>
      <c r="C3"/>
      <c r="D3"/>
      <c r="E3"/>
    </row>
    <row r="4" spans="1:5" x14ac:dyDescent="0.35">
      <c r="B4" s="1"/>
      <c r="C4"/>
      <c r="D4"/>
      <c r="E4"/>
    </row>
    <row r="5" spans="1:5" ht="18.5" x14ac:dyDescent="0.45">
      <c r="A5" s="29" t="s">
        <v>48</v>
      </c>
      <c r="B5" s="1"/>
      <c r="C5"/>
      <c r="D5"/>
      <c r="E5"/>
    </row>
    <row r="6" spans="1:5" ht="17.5" customHeight="1" x14ac:dyDescent="0.35">
      <c r="B6" s="1"/>
      <c r="C6"/>
      <c r="D6"/>
      <c r="E6"/>
    </row>
    <row r="7" spans="1:5" x14ac:dyDescent="0.35">
      <c r="A7" s="5"/>
      <c r="B7" s="6"/>
      <c r="C7" s="4" t="s">
        <v>46</v>
      </c>
      <c r="D7" s="6"/>
      <c r="E7" s="4" t="s">
        <v>47</v>
      </c>
    </row>
    <row r="8" spans="1:5" x14ac:dyDescent="0.35">
      <c r="A8" s="7" t="s">
        <v>0</v>
      </c>
      <c r="B8" s="6"/>
      <c r="C8" s="13"/>
      <c r="D8" s="6"/>
      <c r="E8" s="24">
        <f>C8</f>
        <v>0</v>
      </c>
    </row>
    <row r="9" spans="1:5" hidden="1" x14ac:dyDescent="0.35">
      <c r="A9" s="7" t="s">
        <v>35</v>
      </c>
      <c r="B9" s="6"/>
      <c r="C9" s="17">
        <f>C8</f>
        <v>0</v>
      </c>
      <c r="D9" s="6"/>
      <c r="E9" s="17" cm="1">
        <f t="array" ref="E9">_xlfn.IFS(E8&lt;=700,E8-300,E8&lt;=1300,E8-0.5*(1300-E8),E8&gt;1300,E8)</f>
        <v>-300</v>
      </c>
    </row>
    <row r="10" spans="1:5" x14ac:dyDescent="0.35">
      <c r="A10" s="5" t="s">
        <v>1</v>
      </c>
      <c r="B10" s="8" t="s">
        <v>2</v>
      </c>
      <c r="C10" s="14">
        <f>15%*C9</f>
        <v>0</v>
      </c>
      <c r="D10" s="8" t="s">
        <v>34</v>
      </c>
      <c r="E10" s="14">
        <f>IF(E8=0,0,15%*E9)</f>
        <v>0</v>
      </c>
    </row>
    <row r="11" spans="1:5" hidden="1" x14ac:dyDescent="0.35">
      <c r="A11" s="5" t="s">
        <v>3</v>
      </c>
      <c r="B11" s="8" t="s">
        <v>4</v>
      </c>
      <c r="C11" s="14">
        <f>5%*C8</f>
        <v>0</v>
      </c>
      <c r="D11" s="8" t="s">
        <v>4</v>
      </c>
      <c r="E11" s="14">
        <f>5%*E8</f>
        <v>0</v>
      </c>
    </row>
    <row r="12" spans="1:5" ht="29" hidden="1" x14ac:dyDescent="0.35">
      <c r="A12" s="5" t="s">
        <v>5</v>
      </c>
      <c r="B12" s="6" t="s">
        <v>6</v>
      </c>
      <c r="C12" s="14">
        <f>C10+C11</f>
        <v>0</v>
      </c>
      <c r="D12" s="6" t="s">
        <v>6</v>
      </c>
      <c r="E12" s="14">
        <f>E10+E11</f>
        <v>0</v>
      </c>
    </row>
    <row r="13" spans="1:5" ht="29" hidden="1" x14ac:dyDescent="0.35">
      <c r="A13" s="5" t="s">
        <v>7</v>
      </c>
      <c r="B13" s="8" t="s">
        <v>8</v>
      </c>
      <c r="C13" s="14">
        <f>C8-C12</f>
        <v>0</v>
      </c>
      <c r="D13" s="8" t="s">
        <v>8</v>
      </c>
      <c r="E13" s="14">
        <f>E8-E12</f>
        <v>0</v>
      </c>
    </row>
    <row r="14" spans="1:5" x14ac:dyDescent="0.35">
      <c r="A14" s="5" t="s">
        <v>16</v>
      </c>
      <c r="B14" s="15">
        <f>ROUND(331.81*0.7,2)</f>
        <v>232.27</v>
      </c>
      <c r="C14" s="20">
        <v>0</v>
      </c>
      <c r="D14" s="15">
        <f>ROUND(560*0.5,2)</f>
        <v>280</v>
      </c>
      <c r="E14" s="21">
        <f>C14</f>
        <v>0</v>
      </c>
    </row>
    <row r="15" spans="1:5" x14ac:dyDescent="0.35">
      <c r="A15" s="5" t="s">
        <v>17</v>
      </c>
      <c r="B15" s="15">
        <f>ROUND(331.81*1,2)</f>
        <v>331.81</v>
      </c>
      <c r="C15" s="20">
        <v>0</v>
      </c>
      <c r="D15" s="15">
        <f>ROUND(560*0.7,2)</f>
        <v>392</v>
      </c>
      <c r="E15" s="21">
        <f t="shared" ref="E15:E23" si="0">C15</f>
        <v>0</v>
      </c>
    </row>
    <row r="16" spans="1:5" x14ac:dyDescent="0.35">
      <c r="A16" s="5" t="s">
        <v>18</v>
      </c>
      <c r="B16" s="15">
        <f>ROUND(331.81*1.4,2)</f>
        <v>464.53</v>
      </c>
      <c r="C16" s="20">
        <v>0</v>
      </c>
      <c r="D16" s="15">
        <f>ROUND(560*1,2)</f>
        <v>560</v>
      </c>
      <c r="E16" s="21">
        <f t="shared" si="0"/>
        <v>0</v>
      </c>
    </row>
    <row r="17" spans="1:7" x14ac:dyDescent="0.35">
      <c r="A17" s="5" t="s">
        <v>26</v>
      </c>
      <c r="B17" s="15">
        <f>ROUND(331.81*1.9,2)</f>
        <v>630.44000000000005</v>
      </c>
      <c r="C17" s="20">
        <v>0</v>
      </c>
      <c r="D17" s="15">
        <f>ROUND(560*1.4,2)</f>
        <v>784</v>
      </c>
      <c r="E17" s="21">
        <f t="shared" si="0"/>
        <v>0</v>
      </c>
    </row>
    <row r="18" spans="1:7" x14ac:dyDescent="0.35">
      <c r="A18" s="5" t="s">
        <v>28</v>
      </c>
      <c r="B18" s="15">
        <f>ROUND(331.81*2.5,2)</f>
        <v>829.53</v>
      </c>
      <c r="C18" s="20">
        <v>0</v>
      </c>
      <c r="D18" s="15">
        <f>ROUND(560*1.9,2)</f>
        <v>1064</v>
      </c>
      <c r="E18" s="21">
        <f t="shared" si="0"/>
        <v>0</v>
      </c>
    </row>
    <row r="19" spans="1:7" x14ac:dyDescent="0.35">
      <c r="A19" s="5" t="s">
        <v>29</v>
      </c>
      <c r="B19" s="15">
        <f>ROUND(331.81*3.2,2)</f>
        <v>1061.79</v>
      </c>
      <c r="C19" s="20">
        <v>0</v>
      </c>
      <c r="D19" s="15">
        <f>ROUND(560*2.5,2)</f>
        <v>1400</v>
      </c>
      <c r="E19" s="21">
        <f t="shared" si="0"/>
        <v>0</v>
      </c>
    </row>
    <row r="20" spans="1:7" x14ac:dyDescent="0.35">
      <c r="A20" s="5" t="s">
        <v>33</v>
      </c>
      <c r="B20" s="15">
        <f>ROUND(331.81*4,2)</f>
        <v>1327.24</v>
      </c>
      <c r="C20" s="20">
        <v>0</v>
      </c>
      <c r="D20" s="15">
        <f>ROUND(560*3.2,2)</f>
        <v>1792</v>
      </c>
      <c r="E20" s="21">
        <f t="shared" si="0"/>
        <v>0</v>
      </c>
    </row>
    <row r="21" spans="1:7" x14ac:dyDescent="0.35">
      <c r="A21" s="5" t="s">
        <v>32</v>
      </c>
      <c r="B21" s="15">
        <f>ROUND(331.81*0.7,2)</f>
        <v>232.27</v>
      </c>
      <c r="C21" s="20">
        <v>0</v>
      </c>
      <c r="D21" s="15">
        <f>ROUND(560*0.5,2)</f>
        <v>280</v>
      </c>
      <c r="E21" s="21">
        <f t="shared" si="0"/>
        <v>0</v>
      </c>
    </row>
    <row r="22" spans="1:7" x14ac:dyDescent="0.35">
      <c r="A22" s="5" t="s">
        <v>30</v>
      </c>
      <c r="B22" s="15">
        <f>ROUND(0.4*331.81,2)</f>
        <v>132.72</v>
      </c>
      <c r="C22" s="20">
        <v>0</v>
      </c>
      <c r="D22" s="15">
        <f>ROUND(560*0.3,2)</f>
        <v>168</v>
      </c>
      <c r="E22" s="21">
        <f t="shared" si="0"/>
        <v>0</v>
      </c>
    </row>
    <row r="23" spans="1:7" x14ac:dyDescent="0.35">
      <c r="A23" s="5" t="s">
        <v>31</v>
      </c>
      <c r="B23" s="15">
        <f>ROUND(1.5*331.81,2)</f>
        <v>497.72</v>
      </c>
      <c r="C23" s="20">
        <v>0</v>
      </c>
      <c r="D23" s="15">
        <f>ROUND(560*1,2)</f>
        <v>560</v>
      </c>
      <c r="E23" s="21">
        <f t="shared" si="0"/>
        <v>0</v>
      </c>
    </row>
    <row r="24" spans="1:7" hidden="1" x14ac:dyDescent="0.35">
      <c r="A24" s="5" t="s">
        <v>20</v>
      </c>
      <c r="B24" s="9"/>
      <c r="C24" s="14">
        <f>SUMPRODUCT(B14:B23,C14:C23)</f>
        <v>0</v>
      </c>
      <c r="D24" s="9"/>
      <c r="E24" s="14">
        <f>SUMPRODUCT(D14:D23,E14:E23)</f>
        <v>0</v>
      </c>
    </row>
    <row r="25" spans="1:7" ht="29" hidden="1" x14ac:dyDescent="0.35">
      <c r="A25" s="5" t="s">
        <v>21</v>
      </c>
      <c r="B25" s="8" t="s">
        <v>10</v>
      </c>
      <c r="C25" s="14">
        <f>530.9+C24</f>
        <v>530.9</v>
      </c>
      <c r="D25" s="8" t="s">
        <v>10</v>
      </c>
      <c r="E25" s="14">
        <f>560+E24</f>
        <v>560</v>
      </c>
    </row>
    <row r="26" spans="1:7" ht="29" hidden="1" x14ac:dyDescent="0.35">
      <c r="A26" s="5" t="s">
        <v>19</v>
      </c>
      <c r="B26" s="8" t="s">
        <v>10</v>
      </c>
      <c r="C26" s="14">
        <f>MIN(C13,C25)</f>
        <v>0</v>
      </c>
      <c r="D26" s="8" t="s">
        <v>10</v>
      </c>
      <c r="E26" s="14">
        <f>MIN(E13,E25)</f>
        <v>0</v>
      </c>
    </row>
    <row r="27" spans="1:7" ht="29" x14ac:dyDescent="0.35">
      <c r="A27" s="5" t="s">
        <v>22</v>
      </c>
      <c r="B27" s="8"/>
      <c r="C27" s="14">
        <f>IF(C25&gt;C26,C25-C26,0)</f>
        <v>530.9</v>
      </c>
      <c r="D27" s="8"/>
      <c r="E27" s="14">
        <f>IF(E25&gt;E26,E25-E26,0)</f>
        <v>560</v>
      </c>
    </row>
    <row r="28" spans="1:7" hidden="1" x14ac:dyDescent="0.35">
      <c r="A28" s="5" t="s">
        <v>9</v>
      </c>
      <c r="B28" s="8" t="s">
        <v>10</v>
      </c>
      <c r="C28" s="16">
        <f>C13-C26</f>
        <v>0</v>
      </c>
      <c r="D28" s="8" t="s">
        <v>10</v>
      </c>
      <c r="E28" s="16">
        <f>E13-E26</f>
        <v>0</v>
      </c>
    </row>
    <row r="29" spans="1:7" x14ac:dyDescent="0.35">
      <c r="A29" s="5" t="s">
        <v>23</v>
      </c>
      <c r="B29" s="8"/>
      <c r="C29" s="26">
        <v>0</v>
      </c>
      <c r="D29" s="8"/>
      <c r="E29" s="2"/>
    </row>
    <row r="30" spans="1:7" x14ac:dyDescent="0.35">
      <c r="A30" s="5" t="s">
        <v>36</v>
      </c>
      <c r="B30" s="8"/>
      <c r="C30" s="19"/>
      <c r="D30" s="8"/>
      <c r="E30" s="25">
        <f>20%*(1+C29)</f>
        <v>0.2</v>
      </c>
    </row>
    <row r="31" spans="1:7" ht="29" hidden="1" x14ac:dyDescent="0.35">
      <c r="A31" s="5" t="s">
        <v>37</v>
      </c>
      <c r="B31" s="8" t="s">
        <v>43</v>
      </c>
      <c r="C31" s="14">
        <f>20%*MIN(3981.69,C28)</f>
        <v>0</v>
      </c>
      <c r="D31" s="8" t="s">
        <v>39</v>
      </c>
      <c r="E31" s="14">
        <f>E30*MIN(4200,E28)</f>
        <v>0</v>
      </c>
    </row>
    <row r="32" spans="1:7" x14ac:dyDescent="0.35">
      <c r="A32" s="5" t="s">
        <v>40</v>
      </c>
      <c r="B32" s="8"/>
      <c r="C32" s="19"/>
      <c r="D32" s="8"/>
      <c r="E32" s="25">
        <f>30%*(1+C29)</f>
        <v>0.3</v>
      </c>
      <c r="G32" s="3" t="s">
        <v>49</v>
      </c>
    </row>
    <row r="33" spans="1:7" ht="29" hidden="1" x14ac:dyDescent="0.35">
      <c r="A33" s="5" t="s">
        <v>38</v>
      </c>
      <c r="B33" s="8" t="s">
        <v>44</v>
      </c>
      <c r="C33" s="14">
        <f>IF(C28&gt;3981.69,30%*(C28-3981.69),0)</f>
        <v>0</v>
      </c>
      <c r="D33" s="8" t="s">
        <v>41</v>
      </c>
      <c r="E33" s="14">
        <f>IF(E28&gt;4200,E32*(E28-4200),0)</f>
        <v>0</v>
      </c>
    </row>
    <row r="34" spans="1:7" hidden="1" x14ac:dyDescent="0.35">
      <c r="A34" s="5" t="s">
        <v>24</v>
      </c>
      <c r="B34" s="8" t="s">
        <v>42</v>
      </c>
      <c r="C34" s="17">
        <f>C29*(C31+C33)</f>
        <v>0</v>
      </c>
      <c r="D34" s="8"/>
      <c r="E34" s="17"/>
    </row>
    <row r="35" spans="1:7" x14ac:dyDescent="0.35">
      <c r="A35" s="10" t="s">
        <v>25</v>
      </c>
      <c r="B35" s="10" t="s">
        <v>11</v>
      </c>
      <c r="C35" s="18">
        <f>C13-C31-C33-C34</f>
        <v>0</v>
      </c>
      <c r="D35" s="10" t="s">
        <v>11</v>
      </c>
      <c r="E35" s="18">
        <f>E13-E31-E33</f>
        <v>0</v>
      </c>
      <c r="G35" s="18">
        <f>E35-C35</f>
        <v>0</v>
      </c>
    </row>
    <row r="36" spans="1:7" ht="29" hidden="1" x14ac:dyDescent="0.35">
      <c r="A36" s="5" t="s">
        <v>12</v>
      </c>
      <c r="B36" s="11"/>
      <c r="C36" s="12" t="s">
        <v>27</v>
      </c>
      <c r="D36" s="11"/>
      <c r="E36" s="12" t="s">
        <v>27</v>
      </c>
    </row>
    <row r="37" spans="1:7" ht="29" hidden="1" x14ac:dyDescent="0.35">
      <c r="A37" s="5" t="s">
        <v>12</v>
      </c>
      <c r="B37" s="8" t="s">
        <v>13</v>
      </c>
      <c r="C37" s="14">
        <f>IF(C36="da",16.5 %*C8,0)</f>
        <v>0</v>
      </c>
      <c r="D37" s="8" t="s">
        <v>13</v>
      </c>
      <c r="E37" s="14">
        <f>IF(E36="da",16.5 %*E8,0)</f>
        <v>0</v>
      </c>
    </row>
    <row r="38" spans="1:7" ht="29" hidden="1" x14ac:dyDescent="0.35">
      <c r="A38" s="7" t="s">
        <v>14</v>
      </c>
      <c r="B38" s="27" t="s">
        <v>15</v>
      </c>
      <c r="C38" s="28">
        <f>C8+C37</f>
        <v>0</v>
      </c>
      <c r="D38" s="27" t="s">
        <v>15</v>
      </c>
      <c r="E38" s="28">
        <f>E8+E37</f>
        <v>0</v>
      </c>
    </row>
    <row r="39" spans="1:7" ht="101.5" x14ac:dyDescent="0.35">
      <c r="A39" s="23" t="s">
        <v>45</v>
      </c>
      <c r="B39" s="4"/>
      <c r="C39" s="22" t="str">
        <f>IF(C27&gt;0,"Trenutno vjerojatno plaćate više poreza nego što trebate. Upotrijebite kalkulator Popodicu u sklopu besplatne mobilne aplikacije 'Toni Milun' do kraja veljače 2024. da provjerite imate li pravo na povrat poreza za 2023."," ")</f>
        <v>Trenutno vjerojatno plaćate više poreza nego što trebate. Upotrijebite kalkulator Popodicu u sklopu besplatne mobilne aplikacije 'Toni Milun' do kraja veljače 2024. da provjerite imate li pravo na povrat poreza za 2023.</v>
      </c>
      <c r="D39" s="4"/>
      <c r="E39" s="22" t="str">
        <f>IF(E27&gt;0,"U 2024. ćete vjerojatno plaćati više poreza nego što trebate. Možda možete dio osobnog odbitka za djecu ili uzdržavane članove prebaciti na drugog roditelja."," ")</f>
        <v>U 2024. ćete vjerojatno plaćati više poreza nego što trebate. Možda možete dio osobnog odbitka za djecu ili uzdržavane članove prebaciti na drugog roditelja.</v>
      </c>
    </row>
  </sheetData>
  <phoneticPr fontId="12" type="noConversion"/>
  <conditionalFormatting sqref="C27">
    <cfRule type="cellIs" dxfId="1" priority="2" operator="greaterThan">
      <formula>0</formula>
    </cfRule>
  </conditionalFormatting>
  <conditionalFormatting sqref="E2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588FA07CE7394AA11AC608982F756E" ma:contentTypeVersion="17" ma:contentTypeDescription="Create a new document." ma:contentTypeScope="" ma:versionID="ef2e01527f5047b20421e01766bd7b8a">
  <xsd:schema xmlns:xsd="http://www.w3.org/2001/XMLSchema" xmlns:xs="http://www.w3.org/2001/XMLSchema" xmlns:p="http://schemas.microsoft.com/office/2006/metadata/properties" xmlns:ns2="c8541bfb-4358-4357-9600-75eceb527593" xmlns:ns3="d60d7152-b5f5-4fa3-bc2b-343224f0e8db" targetNamespace="http://schemas.microsoft.com/office/2006/metadata/properties" ma:root="true" ma:fieldsID="df65b954e257835a412c7ecb4267a16f" ns2:_="" ns3:_="">
    <xsd:import namespace="c8541bfb-4358-4357-9600-75eceb527593"/>
    <xsd:import namespace="d60d7152-b5f5-4fa3-bc2b-343224f0e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41bfb-4358-4357-9600-75eceb527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3b5f43-5da6-4e1b-8953-ea5f59477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d7152-b5f5-4fa3-bc2b-343224f0e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8227f4-8994-476e-9f51-842464d47ede}" ma:internalName="TaxCatchAll" ma:showField="CatchAllData" ma:web="d60d7152-b5f5-4fa3-bc2b-343224f0e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8C5D5-BDA3-4CB3-ADF8-CD3F0F81D247}"/>
</file>

<file path=customXml/itemProps2.xml><?xml version="1.0" encoding="utf-8"?>
<ds:datastoreItem xmlns:ds="http://schemas.openxmlformats.org/officeDocument/2006/customXml" ds:itemID="{A61FFCF9-511F-40BC-894D-CE7197D07E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Milun</dc:creator>
  <cp:lastModifiedBy>Toni Milun</cp:lastModifiedBy>
  <dcterms:created xsi:type="dcterms:W3CDTF">2015-06-05T18:19:34Z</dcterms:created>
  <dcterms:modified xsi:type="dcterms:W3CDTF">2023-11-03T08:51:41Z</dcterms:modified>
</cp:coreProperties>
</file>